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582\AppData\Local\Microsoft\Windows\INetCache\Content.Outlook\JB5VDD1Z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I18" i="1"/>
  <c r="G18" i="1"/>
  <c r="E18" i="1"/>
  <c r="C18" i="1"/>
  <c r="I17" i="1"/>
  <c r="H17" i="1"/>
  <c r="G17" i="1"/>
  <c r="F17" i="1"/>
  <c r="E17" i="1"/>
  <c r="D17" i="1"/>
  <c r="C17" i="1"/>
  <c r="I16" i="1"/>
  <c r="H16" i="1"/>
  <c r="G16" i="1"/>
  <c r="E16" i="1"/>
  <c r="D16" i="1"/>
  <c r="I15" i="1"/>
  <c r="H15" i="1"/>
  <c r="G15" i="1"/>
  <c r="F15" i="1"/>
  <c r="E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G11" i="1"/>
  <c r="E11" i="1"/>
  <c r="I10" i="1"/>
  <c r="H10" i="1"/>
  <c r="G10" i="1"/>
  <c r="F10" i="1"/>
  <c r="E10" i="1"/>
  <c r="D10" i="1"/>
  <c r="C10" i="1"/>
  <c r="I9" i="1"/>
  <c r="H9" i="1"/>
  <c r="G9" i="1"/>
  <c r="F9" i="1"/>
  <c r="D9" i="1"/>
  <c r="E9" i="1"/>
  <c r="C9" i="1" l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<sst xmlns="http://schemas.openxmlformats.org/spreadsheetml/2006/main" count="46" uniqueCount="38">
  <si>
    <t>Tabela 1: Procesni kazalniki EDP 2017</t>
  </si>
  <si>
    <t>Storitev</t>
  </si>
  <si>
    <t>SKUPAJ vse storitve</t>
  </si>
  <si>
    <t>Šifra storitev iz NAČAS*/VZS**</t>
  </si>
  <si>
    <t>Zmanjšanje (-)/ povečanje (+) števila čakajočih nad dopustno ČD glede na pretekli mesec (v %) -REDNO</t>
  </si>
  <si>
    <t>Zmanjšanje (-)/ povečanje (+) števila čakajočih nad dopustno ČD glede na pretekli mesec (v %) - HITRO</t>
  </si>
  <si>
    <t>Zmanjšanje (-)/ povečanje (+) števila čakajočih v okviru dopustne ČD glede na pretekli mesec (v %) - REDNO</t>
  </si>
  <si>
    <t>Zmanjšanje (-)/ povečanje (+) števila čakajočih v okviru dopustne ČD glede na pretekli mesec (v %) - HITRO</t>
  </si>
  <si>
    <t>Zmanjšanje (-)/ povečanje (+) ČD na prviprosti termin glede na pretekli mesec (v %) - REDNO</t>
  </si>
  <si>
    <t>Zmanjšanje (-)/ povečanje (+) ČD na prvi prosti termin glede na pretekli mesec (v %) - HITRO</t>
  </si>
  <si>
    <t xml:space="preserve">Neopravljene storitve zaradi odsotnosti pacienta (v %) </t>
  </si>
  <si>
    <t xml:space="preserve"> Artroskopska operacija</t>
  </si>
  <si>
    <t xml:space="preserve"> Endoproteza kolena</t>
  </si>
  <si>
    <t>Endoproteza kolka</t>
  </si>
  <si>
    <t>Operacija hrbtenice</t>
  </si>
  <si>
    <t xml:space="preserve"> Operacija kile</t>
  </si>
  <si>
    <t>101110 in 101111</t>
  </si>
  <si>
    <t>Operacija na ožilju - arterije in vene</t>
  </si>
  <si>
    <t>81300 in 81499</t>
  </si>
  <si>
    <t>Operacija ušes, nosu, ust in grla</t>
  </si>
  <si>
    <t>50010 in 50020</t>
  </si>
  <si>
    <t>Operacija žolčnih kamnov</t>
  </si>
  <si>
    <t>Ortopedska operacija rame</t>
  </si>
  <si>
    <t>Koronarografija</t>
  </si>
  <si>
    <t>1300, 1286,1288, 1295,1296</t>
  </si>
  <si>
    <t>Perkutani posegi na srcu, srčnih zaklopkah, koronarnih in drugih arterijah</t>
  </si>
  <si>
    <t>Operacija na stopalu - hallux valgus</t>
  </si>
  <si>
    <t>Operacija na ožilju - krčne žile (SPP)</t>
  </si>
  <si>
    <t>SPEC.AMB. Operacija na ožilju - krčne žile (E0220)</t>
  </si>
  <si>
    <t>OP raka prostate, ledvic in mehurja (samo UKC Ljubljana)</t>
  </si>
  <si>
    <t>2316, 1372, 1373, 1375, 1376, 1378, 1381</t>
  </si>
  <si>
    <t>081401</t>
  </si>
  <si>
    <t>*ni storitve v NAČAS/ VZS</t>
  </si>
  <si>
    <t>UNIVERZITETNI KLINIČNI CENTER MARIBOR</t>
  </si>
  <si>
    <t xml:space="preserve">Podatki so prikazani na osnovi NAČAS šifer. </t>
  </si>
  <si>
    <t>Podatki nad 100% pomenijo povečanje, pod 100% pa zmanjšanje stanja tako števila čakajočih kot čakalne dobe.</t>
  </si>
  <si>
    <t>September 2017</t>
  </si>
  <si>
    <t>+0/0*100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</si>
</sst>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1" fillId="2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0" fontId="2" fillId="0" borderId="0" xfId="0" applyFont="1" applyAlignment="1">
      <alignment horizontal="left"/>
    </xf>
    <xf numFmtId="2" fontId="0" fillId="0" borderId="1" xfId="0" quotePrefix="1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17" fontId="0" fillId="0" borderId="0" xfId="0" quotePrefix="1" applyNumberFormat="1" applyAlignment="1">
      <alignment horizontal="center" wrapText="1"/>
    </xf>
    <xf numFmtId="2" fontId="0" fillId="0" borderId="1" xfId="0" applyNumberFormat="1" applyFill="1" applyBorder="1" applyAlignment="1">
      <alignment horizontal="righ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3" sqref="C3"/>
    </sheetView>
  </sheetViews>
  <sheetFormatPr defaultRowHeight="15" x14ac:dyDescent="0.25"/>
  <cols>
    <col min="1" max="1" width="9.85546875" style="7" customWidth="1"/>
    <col min="2" max="2" width="39.5703125" customWidth="1"/>
    <col min="3" max="6" width="11.5703125" style="1" bestFit="1" customWidth="1"/>
    <col min="7" max="7" width="9.42578125" style="1" bestFit="1" customWidth="1"/>
    <col min="8" max="8" width="11.5703125" style="1" bestFit="1" customWidth="1"/>
    <col min="9" max="9" width="8.140625" style="1" customWidth="1"/>
    <col min="10" max="10" width="18" style="1" customWidth="1"/>
  </cols>
  <sheetData>
    <row r="1" spans="1:10" ht="17.25" x14ac:dyDescent="0.3">
      <c r="A1" s="13" t="s">
        <v>33</v>
      </c>
    </row>
    <row r="2" spans="1:10" x14ac:dyDescent="0.25">
      <c r="G2" s="17" t="s">
        <v>36</v>
      </c>
      <c r="H2" s="17"/>
    </row>
    <row r="3" spans="1:10" x14ac:dyDescent="0.25">
      <c r="A3" s="5" t="s">
        <v>0</v>
      </c>
      <c r="B3" s="2"/>
      <c r="C3" s="2"/>
      <c r="D3" s="2"/>
    </row>
    <row r="4" spans="1:10" ht="187.5" customHeight="1" x14ac:dyDescent="0.25">
      <c r="A4" s="11" t="s">
        <v>3</v>
      </c>
      <c r="B4" s="10" t="s">
        <v>1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10" x14ac:dyDescent="0.25">
      <c r="A5" s="6"/>
      <c r="B5" s="4" t="s">
        <v>2</v>
      </c>
      <c r="C5" s="12"/>
      <c r="D5" s="12"/>
      <c r="E5" s="12"/>
      <c r="F5" s="12"/>
      <c r="G5" s="12"/>
      <c r="H5" s="12"/>
      <c r="I5" s="12"/>
      <c r="J5"/>
    </row>
    <row r="6" spans="1:10" x14ac:dyDescent="0.25">
      <c r="A6" s="6">
        <v>201510</v>
      </c>
      <c r="B6" s="4" t="s">
        <v>11</v>
      </c>
      <c r="C6" s="15">
        <f>96/97*100</f>
        <v>98.969072164948457</v>
      </c>
      <c r="D6" s="15">
        <f>40/32*100</f>
        <v>125</v>
      </c>
      <c r="E6" s="15">
        <f>31/74*100</f>
        <v>41.891891891891895</v>
      </c>
      <c r="F6" s="15">
        <f>30/11*100</f>
        <v>272.72727272727269</v>
      </c>
      <c r="G6" s="15">
        <f>540/540*100</f>
        <v>100</v>
      </c>
      <c r="H6" s="15">
        <f>136/136*100</f>
        <v>100</v>
      </c>
      <c r="I6" s="15">
        <f>2/52*100</f>
        <v>3.8461538461538463</v>
      </c>
    </row>
    <row r="7" spans="1:10" x14ac:dyDescent="0.25">
      <c r="A7" s="6">
        <v>150910</v>
      </c>
      <c r="B7" s="4" t="s">
        <v>12</v>
      </c>
      <c r="C7" s="15">
        <f>211/245*100</f>
        <v>86.122448979591837</v>
      </c>
      <c r="D7" s="15">
        <f>17/22*100</f>
        <v>77.272727272727266</v>
      </c>
      <c r="E7" s="15">
        <f>78/74*100</f>
        <v>105.40540540540539</v>
      </c>
      <c r="F7" s="15">
        <f>16/7*100</f>
        <v>228.57142857142856</v>
      </c>
      <c r="G7" s="15">
        <f>452/450*100</f>
        <v>100.44444444444444</v>
      </c>
      <c r="H7" s="15">
        <f>95/97*100</f>
        <v>97.9381443298969</v>
      </c>
      <c r="I7" s="15">
        <f>5/84*100</f>
        <v>5.9523809523809517</v>
      </c>
    </row>
    <row r="8" spans="1:10" x14ac:dyDescent="0.25">
      <c r="A8" s="6">
        <v>150810</v>
      </c>
      <c r="B8" s="4" t="s">
        <v>13</v>
      </c>
      <c r="C8" s="15">
        <f>18/11*100</f>
        <v>163.63636363636365</v>
      </c>
      <c r="D8" s="15">
        <f>20/29*100</f>
        <v>68.965517241379317</v>
      </c>
      <c r="E8" s="15">
        <f>159/160*100</f>
        <v>99.375</v>
      </c>
      <c r="F8" s="15">
        <f>41/40*100</f>
        <v>102.49999999999999</v>
      </c>
      <c r="G8" s="15">
        <f>330/330*100</f>
        <v>100</v>
      </c>
      <c r="H8" s="15">
        <f>95/97*100</f>
        <v>97.9381443298969</v>
      </c>
      <c r="I8" s="15">
        <f>0/55*100</f>
        <v>0</v>
      </c>
    </row>
    <row r="9" spans="1:10" x14ac:dyDescent="0.25">
      <c r="A9" s="6">
        <v>150300</v>
      </c>
      <c r="B9" s="4" t="s">
        <v>14</v>
      </c>
      <c r="C9" s="15">
        <f>78/83*100</f>
        <v>93.975903614457835</v>
      </c>
      <c r="D9" s="15">
        <f>177/170*100</f>
        <v>104.11764705882354</v>
      </c>
      <c r="E9" s="15">
        <f>97/122*100</f>
        <v>79.508196721311478</v>
      </c>
      <c r="F9" s="15">
        <f>25/18*100</f>
        <v>138.88888888888889</v>
      </c>
      <c r="G9" s="18">
        <f>180/181*100</f>
        <v>99.447513812154696</v>
      </c>
      <c r="H9" s="15">
        <f>95/97*100</f>
        <v>97.9381443298969</v>
      </c>
      <c r="I9" s="15">
        <f>2/90*100</f>
        <v>2.2222222222222223</v>
      </c>
    </row>
    <row r="10" spans="1:10" ht="30" x14ac:dyDescent="0.25">
      <c r="A10" s="6" t="s">
        <v>16</v>
      </c>
      <c r="B10" s="4" t="s">
        <v>15</v>
      </c>
      <c r="C10" s="15">
        <f>6/15*100</f>
        <v>40</v>
      </c>
      <c r="D10" s="15">
        <f>3/7*100</f>
        <v>42.857142857142854</v>
      </c>
      <c r="E10" s="15">
        <f>26/22*100</f>
        <v>118.18181818181819</v>
      </c>
      <c r="F10" s="15">
        <f>8/3*100</f>
        <v>266.66666666666663</v>
      </c>
      <c r="G10" s="15">
        <f>120/150*100</f>
        <v>80</v>
      </c>
      <c r="H10" s="15">
        <f>90/90*100</f>
        <v>100</v>
      </c>
      <c r="I10" s="15">
        <f>0/20*100</f>
        <v>0</v>
      </c>
    </row>
    <row r="11" spans="1:10" ht="30" x14ac:dyDescent="0.25">
      <c r="A11" s="6" t="s">
        <v>18</v>
      </c>
      <c r="B11" s="4" t="s">
        <v>17</v>
      </c>
      <c r="C11" s="14" t="s">
        <v>37</v>
      </c>
      <c r="D11" s="14" t="s">
        <v>37</v>
      </c>
      <c r="E11" s="15">
        <f>4/9*100</f>
        <v>44.444444444444443</v>
      </c>
      <c r="F11" s="14" t="s">
        <v>37</v>
      </c>
      <c r="G11" s="15">
        <f>9/12*100</f>
        <v>75</v>
      </c>
      <c r="H11" s="14" t="s">
        <v>37</v>
      </c>
      <c r="I11" s="15">
        <f>0/11*100</f>
        <v>0</v>
      </c>
    </row>
    <row r="12" spans="1:10" ht="30" x14ac:dyDescent="0.25">
      <c r="A12" s="6" t="s">
        <v>20</v>
      </c>
      <c r="B12" s="4" t="s">
        <v>19</v>
      </c>
      <c r="C12" s="15">
        <f>503/576*100</f>
        <v>87.326388888888886</v>
      </c>
      <c r="D12" s="15">
        <f>10/14*100</f>
        <v>71.428571428571431</v>
      </c>
      <c r="E12" s="15">
        <f>137/128*100</f>
        <v>107.03125</v>
      </c>
      <c r="F12" s="15">
        <f>17/20*100</f>
        <v>85</v>
      </c>
      <c r="G12" s="15">
        <f>365/395*100</f>
        <v>92.405063291139243</v>
      </c>
      <c r="H12" s="15">
        <f>80/60*100</f>
        <v>133.33333333333331</v>
      </c>
      <c r="I12" s="15">
        <f>12/142*100</f>
        <v>8.4507042253521121</v>
      </c>
    </row>
    <row r="13" spans="1:10" x14ac:dyDescent="0.25">
      <c r="A13" s="6">
        <v>100910</v>
      </c>
      <c r="B13" s="4" t="s">
        <v>21</v>
      </c>
      <c r="C13" s="15">
        <f>4/14*100</f>
        <v>28.571428571428569</v>
      </c>
      <c r="D13" s="15">
        <f>2/7*100</f>
        <v>28.571428571428569</v>
      </c>
      <c r="E13" s="15">
        <f>19/14*100</f>
        <v>135.71428571428572</v>
      </c>
      <c r="F13" s="15">
        <f>9/10*100</f>
        <v>90</v>
      </c>
      <c r="G13" s="15">
        <f>110/150*100</f>
        <v>73.333333333333329</v>
      </c>
      <c r="H13" s="15">
        <f>60/90*100</f>
        <v>66.666666666666657</v>
      </c>
      <c r="I13" s="15">
        <f>0/20*100</f>
        <v>0</v>
      </c>
    </row>
    <row r="14" spans="1:10" x14ac:dyDescent="0.25">
      <c r="A14" s="6">
        <v>150401</v>
      </c>
      <c r="B14" s="4" t="s">
        <v>22</v>
      </c>
      <c r="C14" s="15">
        <f>8/4*100</f>
        <v>200</v>
      </c>
      <c r="D14" s="15">
        <f>2/2*100</f>
        <v>100</v>
      </c>
      <c r="E14" s="15">
        <f>32/34*100</f>
        <v>94.117647058823522</v>
      </c>
      <c r="F14" s="15">
        <f>7/8*100</f>
        <v>87.5</v>
      </c>
      <c r="G14" s="15">
        <f>216/216*100</f>
        <v>100</v>
      </c>
      <c r="H14" s="15">
        <f>88/86*100</f>
        <v>102.32558139534885</v>
      </c>
      <c r="I14" s="15">
        <f>2/16*100</f>
        <v>12.5</v>
      </c>
    </row>
    <row r="15" spans="1:10" x14ac:dyDescent="0.25">
      <c r="A15" s="6">
        <v>208803</v>
      </c>
      <c r="B15" s="4" t="s">
        <v>23</v>
      </c>
      <c r="C15" s="15">
        <f>22/34*100</f>
        <v>64.705882352941174</v>
      </c>
      <c r="D15" s="15">
        <f>38/59*100</f>
        <v>64.406779661016941</v>
      </c>
      <c r="E15" s="15">
        <f>0/2*100</f>
        <v>0</v>
      </c>
      <c r="F15" s="15">
        <f>0/1*100</f>
        <v>0</v>
      </c>
      <c r="G15" s="15">
        <f>450/445*100</f>
        <v>101.12359550561798</v>
      </c>
      <c r="H15" s="15">
        <f>380/380*100</f>
        <v>100</v>
      </c>
      <c r="I15" s="15">
        <f>0/31*100</f>
        <v>0</v>
      </c>
    </row>
    <row r="16" spans="1:10" ht="44.25" customHeight="1" x14ac:dyDescent="0.25">
      <c r="A16" s="6" t="s">
        <v>24</v>
      </c>
      <c r="B16" s="3" t="s">
        <v>25</v>
      </c>
      <c r="C16" s="14" t="s">
        <v>37</v>
      </c>
      <c r="D16" s="15">
        <f>40/32*100</f>
        <v>125</v>
      </c>
      <c r="E16" s="15">
        <f>24/31*100</f>
        <v>77.41935483870968</v>
      </c>
      <c r="F16" s="14" t="s">
        <v>37</v>
      </c>
      <c r="G16" s="15">
        <f>94/98*100</f>
        <v>95.918367346938766</v>
      </c>
      <c r="H16" s="15">
        <f>92/94*100</f>
        <v>97.872340425531917</v>
      </c>
      <c r="I16" s="15">
        <f>0/22*100</f>
        <v>0</v>
      </c>
    </row>
    <row r="17" spans="1:9" x14ac:dyDescent="0.25">
      <c r="A17" s="6">
        <v>151001</v>
      </c>
      <c r="B17" s="4" t="s">
        <v>26</v>
      </c>
      <c r="C17" s="15">
        <f>288/313*100</f>
        <v>92.012779552715656</v>
      </c>
      <c r="D17" s="15">
        <f>22/23*100</f>
        <v>95.652173913043484</v>
      </c>
      <c r="E17" s="15">
        <f>22/19*100</f>
        <v>115.78947368421053</v>
      </c>
      <c r="F17" s="15">
        <f>10/8*100</f>
        <v>125</v>
      </c>
      <c r="G17" s="15">
        <f>620/622*100</f>
        <v>99.678456591639872</v>
      </c>
      <c r="H17" s="15">
        <f>137/135*100</f>
        <v>101.48148148148148</v>
      </c>
      <c r="I17" s="15">
        <f>4/43*100</f>
        <v>9.3023255813953494</v>
      </c>
    </row>
    <row r="18" spans="1:9" x14ac:dyDescent="0.25">
      <c r="A18" s="8" t="s">
        <v>31</v>
      </c>
      <c r="B18" s="4" t="s">
        <v>27</v>
      </c>
      <c r="C18" s="15">
        <f>500/455*100</f>
        <v>109.8901098901099</v>
      </c>
      <c r="D18" s="14" t="s">
        <v>37</v>
      </c>
      <c r="E18" s="15">
        <f>5/2*100</f>
        <v>250</v>
      </c>
      <c r="F18" s="14" t="s">
        <v>37</v>
      </c>
      <c r="G18" s="15">
        <f>620/624*100</f>
        <v>99.358974358974365</v>
      </c>
      <c r="H18" s="14" t="s">
        <v>37</v>
      </c>
      <c r="I18" s="15">
        <f>0/31*100</f>
        <v>0</v>
      </c>
    </row>
    <row r="19" spans="1:9" ht="62.25" customHeight="1" x14ac:dyDescent="0.25">
      <c r="A19" s="6" t="s">
        <v>32</v>
      </c>
      <c r="B19" s="3" t="s">
        <v>28</v>
      </c>
      <c r="C19" s="12"/>
      <c r="D19" s="12"/>
      <c r="E19" s="12"/>
      <c r="F19" s="12"/>
      <c r="G19" s="12"/>
      <c r="H19" s="12"/>
      <c r="I19" s="12"/>
    </row>
    <row r="20" spans="1:9" ht="80.25" customHeight="1" x14ac:dyDescent="0.25">
      <c r="A20" s="6" t="s">
        <v>30</v>
      </c>
      <c r="B20" s="3" t="s">
        <v>29</v>
      </c>
      <c r="C20" s="12"/>
      <c r="D20" s="12"/>
      <c r="E20" s="12"/>
      <c r="F20" s="12"/>
      <c r="G20" s="12"/>
      <c r="H20" s="12"/>
      <c r="I20" s="12"/>
    </row>
    <row r="21" spans="1:9" x14ac:dyDescent="0.25">
      <c r="A21" s="16" t="s">
        <v>34</v>
      </c>
      <c r="B21" s="16"/>
      <c r="C21" s="16"/>
      <c r="D21" s="16"/>
      <c r="E21" s="16"/>
      <c r="F21" s="16"/>
      <c r="G21" s="16"/>
      <c r="H21" s="16"/>
    </row>
    <row r="22" spans="1:9" x14ac:dyDescent="0.25">
      <c r="A22" s="16" t="s">
        <v>35</v>
      </c>
      <c r="B22" s="16"/>
      <c r="C22" s="16"/>
      <c r="D22" s="16"/>
      <c r="E22" s="16"/>
      <c r="F22" s="16"/>
      <c r="G22" s="16"/>
      <c r="H22" s="16"/>
    </row>
    <row r="23" spans="1:9" x14ac:dyDescent="0.25">
      <c r="A23" s="16"/>
      <c r="B23" s="16"/>
      <c r="C23" s="16"/>
      <c r="D23" s="16"/>
      <c r="E23" s="16"/>
      <c r="F23" s="16"/>
      <c r="G23" s="16"/>
    </row>
    <row r="24" spans="1:9" x14ac:dyDescent="0.25">
      <c r="A24" s="5"/>
      <c r="B24" s="2"/>
      <c r="C24" s="2"/>
      <c r="D24" s="2"/>
      <c r="E24" s="2"/>
      <c r="F24" s="2"/>
    </row>
  </sheetData>
  <mergeCells count="4">
    <mergeCell ref="A21:H21"/>
    <mergeCell ref="A22:H22"/>
    <mergeCell ref="G2:H2"/>
    <mergeCell ref="A23:G2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Hajnrih</dc:creator>
  <cp:lastModifiedBy>Anita MEŠKO</cp:lastModifiedBy>
  <cp:lastPrinted>2017-09-15T07:35:09Z</cp:lastPrinted>
  <dcterms:created xsi:type="dcterms:W3CDTF">2017-09-06T07:14:36Z</dcterms:created>
  <dcterms:modified xsi:type="dcterms:W3CDTF">2017-11-23T14:02:54Z</dcterms:modified>
</cp:coreProperties>
</file>