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pnos\CKO\ČAKALNE DOBE\ČS Breda\Kazalniki EDP 2017\"/>
    </mc:Choice>
  </mc:AlternateContent>
  <bookViews>
    <workbookView xWindow="0" yWindow="0" windowWidth="28800" windowHeight="12735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G18" i="2"/>
  <c r="E18" i="2"/>
  <c r="C18" i="2"/>
  <c r="I17" i="2"/>
  <c r="H17" i="2"/>
  <c r="G17" i="2"/>
  <c r="F17" i="2"/>
  <c r="E17" i="2"/>
  <c r="D17" i="2"/>
  <c r="C17" i="2"/>
  <c r="I16" i="2"/>
  <c r="H16" i="2"/>
  <c r="G16" i="2"/>
  <c r="E16" i="2"/>
  <c r="D16" i="2"/>
  <c r="C16" i="2"/>
  <c r="I15" i="2"/>
  <c r="H15" i="2"/>
  <c r="G15" i="2"/>
  <c r="D15" i="2"/>
  <c r="C15" i="2"/>
  <c r="I14" i="2"/>
  <c r="H14" i="2"/>
  <c r="G14" i="2"/>
  <c r="F14" i="2"/>
  <c r="E14" i="2"/>
  <c r="I13" i="2"/>
  <c r="H13" i="2"/>
  <c r="G13" i="2"/>
  <c r="F13" i="2"/>
  <c r="E13" i="2"/>
  <c r="G12" i="2"/>
  <c r="H12" i="2"/>
  <c r="I12" i="2"/>
  <c r="F12" i="2"/>
  <c r="E12" i="2"/>
  <c r="D12" i="2"/>
  <c r="C12" i="2"/>
  <c r="I11" i="2"/>
  <c r="G11" i="2"/>
  <c r="E11" i="2"/>
  <c r="I10" i="2"/>
  <c r="H10" i="2"/>
  <c r="G10" i="2"/>
  <c r="F10" i="2"/>
  <c r="E10" i="2"/>
  <c r="I9" i="2"/>
  <c r="H9" i="2"/>
  <c r="G9" i="2"/>
  <c r="F9" i="2"/>
  <c r="E9" i="2"/>
  <c r="D9" i="2"/>
  <c r="I8" i="2"/>
  <c r="F8" i="2"/>
  <c r="G8" i="2"/>
  <c r="H8" i="2"/>
  <c r="E8" i="2"/>
  <c r="D8" i="2"/>
  <c r="C9" i="2"/>
  <c r="C8" i="2"/>
  <c r="I7" i="2"/>
  <c r="H7" i="2"/>
  <c r="G7" i="2"/>
  <c r="F7" i="2"/>
  <c r="E7" i="2"/>
  <c r="D7" i="2"/>
  <c r="C7" i="2"/>
  <c r="I6" i="2"/>
  <c r="H6" i="2" l="1"/>
  <c r="G6" i="2"/>
  <c r="F6" i="2"/>
  <c r="E6" i="2"/>
  <c r="D6" i="2"/>
  <c r="C6" i="2"/>
</calcChain>
</file>

<file path=xl/sharedStrings.xml><?xml version="1.0" encoding="utf-8"?>
<sst xmlns="http://schemas.openxmlformats.org/spreadsheetml/2006/main" count="39" uniqueCount="39">
  <si>
    <t>Tabela 1: Procesni kazalniki EDP 2017</t>
  </si>
  <si>
    <t>Storitev</t>
  </si>
  <si>
    <t>SKUPAJ vse storitve</t>
  </si>
  <si>
    <t>Šifra storitev iz NAČAS*/VZS**</t>
  </si>
  <si>
    <t>Zmanjšanje (-)/ povečanje (+) števila čakajočih nad dopustno ČD glede na pretekli mesec (v %) -REDNO</t>
  </si>
  <si>
    <t>Zmanjšanje (-)/ povečanje (+) števila čakajočih nad dopustno ČD glede na pretekli mesec (v %) - HITRO</t>
  </si>
  <si>
    <t>Zmanjšanje (-)/ povečanje (+) števila čakajočih v okviru dopustne ČD glede na pretekli mesec (v %) - REDNO</t>
  </si>
  <si>
    <t>Zmanjšanje (-)/ povečanje (+) števila čakajočih v okviru dopustne ČD glede na pretekli mesec (v %) - HITRO</t>
  </si>
  <si>
    <t>Zmanjšanje (-)/ povečanje (+) ČD na prviprosti termin glede na pretekli mesec (v %) - REDNO</t>
  </si>
  <si>
    <t>Zmanjšanje (-)/ povečanje (+) ČD na prvi prosti termin glede na pretekli mesec (v %) - HITRO</t>
  </si>
  <si>
    <t xml:space="preserve">Neopravljene storitve zaradi odsotnosti pacienta (v %) </t>
  </si>
  <si>
    <t xml:space="preserve"> Artroskopska operacija</t>
  </si>
  <si>
    <t xml:space="preserve"> Endoproteza kolena</t>
  </si>
  <si>
    <t>Endoproteza kolka</t>
  </si>
  <si>
    <t>Operacija hrbtenice</t>
  </si>
  <si>
    <t xml:space="preserve"> Operacija kile</t>
  </si>
  <si>
    <t>101110 in 101111</t>
  </si>
  <si>
    <t>Operacija na ožilju - arterije in vene</t>
  </si>
  <si>
    <t>81300 in 81499</t>
  </si>
  <si>
    <t>Operacija ušes, nosu, ust in grla</t>
  </si>
  <si>
    <t>50010 in 50020</t>
  </si>
  <si>
    <t>Operacija žolčnih kamnov</t>
  </si>
  <si>
    <t>Ortopedska operacija rame</t>
  </si>
  <si>
    <t>Koronarografija</t>
  </si>
  <si>
    <t>1300, 1286,1288, 1295,1296</t>
  </si>
  <si>
    <t>Perkutani posegi na srcu, srčnih zaklopkah, koronarnih in drugih arterijah</t>
  </si>
  <si>
    <t>Operacija na stopalu - hallux valgus</t>
  </si>
  <si>
    <t>Operacija na ožilju - krčne žile (SPP)</t>
  </si>
  <si>
    <t>SPEC.AMB. Operacija na ožilju - krčne žile (E0220)</t>
  </si>
  <si>
    <t>OP raka prostate, ledvic in mehurja (samo UKC Ljubljana)</t>
  </si>
  <si>
    <t>2316, 1372, 1373, 1375, 1376, 1378, 1381</t>
  </si>
  <si>
    <t>081401</t>
  </si>
  <si>
    <t>*ni storitve v NAČAS/ VZS</t>
  </si>
  <si>
    <t>UNIVERZITETNI KLINIČNI CENTER MARIBOR</t>
  </si>
  <si>
    <t xml:space="preserve">Podatki so prikazani na osnovi NAČAS šifer. </t>
  </si>
  <si>
    <t>Podatki nad 100% pomenijo povečanje, pod 100% pa zmanjšanje stanja tako števila čakajočih kot čakalne dobe.</t>
  </si>
  <si>
    <t>December 2017</t>
  </si>
  <si>
    <t>+2/0*100</t>
  </si>
  <si>
    <t>+8/0*100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</si>
</sst>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quotePrefix="1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 wrapText="1"/>
    </xf>
    <xf numFmtId="49" fontId="2" fillId="0" borderId="0" xfId="0" quotePrefix="1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>
      <selection activeCell="K13" sqref="K13"/>
    </sheetView>
  </sheetViews>
  <sheetFormatPr defaultRowHeight="15" x14ac:dyDescent="0.25"/>
  <cols>
    <col min="1" max="1" width="9.85546875" style="4" customWidth="1"/>
    <col min="2" max="2" width="39.5703125" style="2" customWidth="1"/>
    <col min="3" max="6" width="11.5703125" style="3" bestFit="1" customWidth="1"/>
    <col min="7" max="7" width="9.42578125" style="3" bestFit="1" customWidth="1"/>
    <col min="8" max="8" width="11.5703125" style="3" bestFit="1" customWidth="1"/>
    <col min="9" max="9" width="8.140625" style="3" customWidth="1"/>
    <col min="10" max="10" width="18" style="3" customWidth="1"/>
    <col min="11" max="16384" width="9.140625" style="2"/>
  </cols>
  <sheetData>
    <row r="1" spans="1:10" ht="17.25" x14ac:dyDescent="0.3">
      <c r="A1" s="1" t="s">
        <v>33</v>
      </c>
    </row>
    <row r="2" spans="1:10" x14ac:dyDescent="0.25">
      <c r="G2" s="18" t="s">
        <v>36</v>
      </c>
      <c r="H2" s="18"/>
    </row>
    <row r="3" spans="1:10" x14ac:dyDescent="0.25">
      <c r="A3" s="5" t="s">
        <v>0</v>
      </c>
      <c r="B3" s="6"/>
      <c r="C3" s="6"/>
      <c r="D3" s="6"/>
    </row>
    <row r="4" spans="1:10" ht="187.5" customHeight="1" x14ac:dyDescent="0.25">
      <c r="A4" s="7" t="s">
        <v>3</v>
      </c>
      <c r="B4" s="8" t="s">
        <v>1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10" x14ac:dyDescent="0.25">
      <c r="A5" s="10"/>
      <c r="B5" s="11" t="s">
        <v>2</v>
      </c>
      <c r="C5" s="12"/>
      <c r="D5" s="12"/>
      <c r="E5" s="12"/>
      <c r="F5" s="12"/>
      <c r="G5" s="12"/>
      <c r="H5" s="12"/>
      <c r="I5" s="12"/>
      <c r="J5" s="2"/>
    </row>
    <row r="6" spans="1:10" x14ac:dyDescent="0.25">
      <c r="A6" s="10">
        <v>201510</v>
      </c>
      <c r="B6" s="11" t="s">
        <v>11</v>
      </c>
      <c r="C6" s="13">
        <f>128/121*100</f>
        <v>105.78512396694215</v>
      </c>
      <c r="D6" s="13">
        <f>29/15*100</f>
        <v>193.33333333333334</v>
      </c>
      <c r="E6" s="13">
        <f>30/34*100</f>
        <v>88.235294117647058</v>
      </c>
      <c r="F6" s="13">
        <f>47/45*100</f>
        <v>104.44444444444446</v>
      </c>
      <c r="G6" s="13">
        <f>390/400*100</f>
        <v>97.5</v>
      </c>
      <c r="H6" s="13">
        <f>99/99*100</f>
        <v>100</v>
      </c>
      <c r="I6" s="13">
        <f>3/43*100</f>
        <v>6.9767441860465116</v>
      </c>
    </row>
    <row r="7" spans="1:10" x14ac:dyDescent="0.25">
      <c r="A7" s="10">
        <v>150910</v>
      </c>
      <c r="B7" s="11" t="s">
        <v>12</v>
      </c>
      <c r="C7" s="13">
        <f>170/189*100</f>
        <v>89.947089947089935</v>
      </c>
      <c r="D7" s="13">
        <f>26/15*100</f>
        <v>173.33333333333334</v>
      </c>
      <c r="E7" s="13">
        <f>109/83*100</f>
        <v>131.32530120481925</v>
      </c>
      <c r="F7" s="13">
        <f>28/27*100</f>
        <v>103.7037037037037</v>
      </c>
      <c r="G7" s="13">
        <f>280/321*100</f>
        <v>87.227414330218068</v>
      </c>
      <c r="H7" s="13">
        <f>78/85*100</f>
        <v>91.764705882352942</v>
      </c>
      <c r="I7" s="13">
        <f>5/43*100</f>
        <v>11.627906976744185</v>
      </c>
    </row>
    <row r="8" spans="1:10" x14ac:dyDescent="0.25">
      <c r="A8" s="10">
        <v>150810</v>
      </c>
      <c r="B8" s="11" t="s">
        <v>13</v>
      </c>
      <c r="C8" s="13">
        <f>18/23*100</f>
        <v>78.260869565217391</v>
      </c>
      <c r="D8" s="13">
        <f>13/16*100</f>
        <v>81.25</v>
      </c>
      <c r="E8" s="13">
        <f>146/156*100</f>
        <v>93.589743589743591</v>
      </c>
      <c r="F8" s="13">
        <f>54/48*100</f>
        <v>112.5</v>
      </c>
      <c r="G8" s="13">
        <f>250/300*100</f>
        <v>83.333333333333343</v>
      </c>
      <c r="H8" s="13">
        <f>75/85*100</f>
        <v>88.235294117647058</v>
      </c>
      <c r="I8" s="13">
        <f>0/51*100</f>
        <v>0</v>
      </c>
    </row>
    <row r="9" spans="1:10" x14ac:dyDescent="0.25">
      <c r="A9" s="10">
        <v>150300</v>
      </c>
      <c r="B9" s="11" t="s">
        <v>14</v>
      </c>
      <c r="C9" s="13">
        <f>74/74*100</f>
        <v>100</v>
      </c>
      <c r="D9" s="13">
        <f>199/210*100</f>
        <v>94.761904761904759</v>
      </c>
      <c r="E9" s="13">
        <f>114/97*100</f>
        <v>117.5257731958763</v>
      </c>
      <c r="F9" s="13">
        <f>16/8*100</f>
        <v>200</v>
      </c>
      <c r="G9" s="14">
        <f>151/181*100</f>
        <v>83.425414364640886</v>
      </c>
      <c r="H9" s="13">
        <f>67/90*100</f>
        <v>74.444444444444443</v>
      </c>
      <c r="I9" s="13">
        <f>3/82*100</f>
        <v>3.6585365853658534</v>
      </c>
    </row>
    <row r="10" spans="1:10" ht="30" x14ac:dyDescent="0.25">
      <c r="A10" s="10" t="s">
        <v>16</v>
      </c>
      <c r="B10" s="11" t="s">
        <v>15</v>
      </c>
      <c r="C10" s="13">
        <v>0</v>
      </c>
      <c r="D10" s="13">
        <v>0</v>
      </c>
      <c r="E10" s="13">
        <f>27/24*100</f>
        <v>112.5</v>
      </c>
      <c r="F10" s="13">
        <f>6/5*100</f>
        <v>120</v>
      </c>
      <c r="G10" s="13">
        <f>50/90*100</f>
        <v>55.555555555555557</v>
      </c>
      <c r="H10" s="13">
        <f>20/60*100</f>
        <v>33.333333333333329</v>
      </c>
      <c r="I10" s="13">
        <f>0/25*100</f>
        <v>0</v>
      </c>
    </row>
    <row r="11" spans="1:10" ht="30" x14ac:dyDescent="0.25">
      <c r="A11" s="10" t="s">
        <v>18</v>
      </c>
      <c r="B11" s="11" t="s">
        <v>17</v>
      </c>
      <c r="C11" s="15">
        <v>0</v>
      </c>
      <c r="D11" s="15">
        <v>0</v>
      </c>
      <c r="E11" s="13">
        <f>5/5*100</f>
        <v>100</v>
      </c>
      <c r="F11" s="15">
        <v>0</v>
      </c>
      <c r="G11" s="13">
        <f>22/15*100</f>
        <v>146.66666666666666</v>
      </c>
      <c r="H11" s="15">
        <v>0</v>
      </c>
      <c r="I11" s="13">
        <f>0/8*100</f>
        <v>0</v>
      </c>
    </row>
    <row r="12" spans="1:10" ht="30" x14ac:dyDescent="0.25">
      <c r="A12" s="10" t="s">
        <v>20</v>
      </c>
      <c r="B12" s="11" t="s">
        <v>19</v>
      </c>
      <c r="C12" s="13">
        <f>482/513*100</f>
        <v>93.957115009746587</v>
      </c>
      <c r="D12" s="13">
        <f>4/4*100</f>
        <v>100</v>
      </c>
      <c r="E12" s="13">
        <f>109/107*100</f>
        <v>101.86915887850468</v>
      </c>
      <c r="F12" s="13">
        <f>36/25*100</f>
        <v>144</v>
      </c>
      <c r="G12" s="13">
        <f>342/355*100</f>
        <v>96.338028169014095</v>
      </c>
      <c r="H12" s="13">
        <f>58/76*100</f>
        <v>76.31578947368422</v>
      </c>
      <c r="I12" s="13">
        <f>21/162*100</f>
        <v>12.962962962962962</v>
      </c>
    </row>
    <row r="13" spans="1:10" x14ac:dyDescent="0.25">
      <c r="A13" s="10">
        <v>100910</v>
      </c>
      <c r="B13" s="11" t="s">
        <v>21</v>
      </c>
      <c r="C13" s="13">
        <v>0</v>
      </c>
      <c r="D13" s="13">
        <v>0</v>
      </c>
      <c r="E13" s="13">
        <f>27/20*100</f>
        <v>135</v>
      </c>
      <c r="F13" s="13">
        <f>0/7*100</f>
        <v>0</v>
      </c>
      <c r="G13" s="13">
        <f>40/90*100</f>
        <v>44.444444444444443</v>
      </c>
      <c r="H13" s="13">
        <f>0/55*100</f>
        <v>0</v>
      </c>
      <c r="I13" s="13">
        <f>0/13*100</f>
        <v>0</v>
      </c>
    </row>
    <row r="14" spans="1:10" x14ac:dyDescent="0.25">
      <c r="A14" s="10">
        <v>150401</v>
      </c>
      <c r="B14" s="11" t="s">
        <v>22</v>
      </c>
      <c r="C14" s="13">
        <v>0</v>
      </c>
      <c r="D14" s="15" t="s">
        <v>37</v>
      </c>
      <c r="E14" s="13">
        <f>41/39*100</f>
        <v>105.12820512820514</v>
      </c>
      <c r="F14" s="13">
        <f>11/15*100</f>
        <v>73.333333333333329</v>
      </c>
      <c r="G14" s="13">
        <f>125/216*100</f>
        <v>57.870370370370374</v>
      </c>
      <c r="H14" s="13">
        <f>65/86*100</f>
        <v>75.581395348837205</v>
      </c>
      <c r="I14" s="13">
        <f>0/13*100</f>
        <v>0</v>
      </c>
    </row>
    <row r="15" spans="1:10" x14ac:dyDescent="0.25">
      <c r="A15" s="10">
        <v>208803</v>
      </c>
      <c r="B15" s="11" t="s">
        <v>23</v>
      </c>
      <c r="C15" s="13">
        <f>22/22*100</f>
        <v>100</v>
      </c>
      <c r="D15" s="13">
        <f>23/32*100</f>
        <v>71.875</v>
      </c>
      <c r="E15" s="15">
        <v>0</v>
      </c>
      <c r="F15" s="15">
        <v>0</v>
      </c>
      <c r="G15" s="13">
        <f>380/400*100</f>
        <v>95</v>
      </c>
      <c r="H15" s="13">
        <f>300/320*100</f>
        <v>93.75</v>
      </c>
      <c r="I15" s="13">
        <f>0/13*100</f>
        <v>0</v>
      </c>
    </row>
    <row r="16" spans="1:10" ht="44.25" customHeight="1" x14ac:dyDescent="0.25">
      <c r="A16" s="10" t="s">
        <v>24</v>
      </c>
      <c r="B16" s="16" t="s">
        <v>25</v>
      </c>
      <c r="C16" s="15">
        <f>11/9*100</f>
        <v>122.22222222222223</v>
      </c>
      <c r="D16" s="13">
        <f>26/32*100</f>
        <v>81.25</v>
      </c>
      <c r="E16" s="13">
        <f>32/24*100</f>
        <v>133.33333333333331</v>
      </c>
      <c r="F16" s="15" t="s">
        <v>38</v>
      </c>
      <c r="G16" s="13">
        <f>131/128*100</f>
        <v>102.34375</v>
      </c>
      <c r="H16" s="13">
        <f>91/92*100</f>
        <v>98.91304347826086</v>
      </c>
      <c r="I16" s="13">
        <f>0/29*100</f>
        <v>0</v>
      </c>
    </row>
    <row r="17" spans="1:9" x14ac:dyDescent="0.25">
      <c r="A17" s="10">
        <v>151001</v>
      </c>
      <c r="B17" s="11" t="s">
        <v>26</v>
      </c>
      <c r="C17" s="13">
        <f>260/265*100</f>
        <v>98.113207547169807</v>
      </c>
      <c r="D17" s="13">
        <f>28/29*100</f>
        <v>96.551724137931032</v>
      </c>
      <c r="E17" s="13">
        <f>16/19*100</f>
        <v>84.210526315789465</v>
      </c>
      <c r="F17" s="13">
        <f>3/10*100</f>
        <v>30</v>
      </c>
      <c r="G17" s="13">
        <f>851/910*100</f>
        <v>93.516483516483518</v>
      </c>
      <c r="H17" s="13">
        <f>180/181*100</f>
        <v>99.447513812154696</v>
      </c>
      <c r="I17" s="13">
        <f>4/46*100</f>
        <v>8.695652173913043</v>
      </c>
    </row>
    <row r="18" spans="1:9" x14ac:dyDescent="0.25">
      <c r="A18" s="17" t="s">
        <v>31</v>
      </c>
      <c r="B18" s="11" t="s">
        <v>27</v>
      </c>
      <c r="C18" s="13">
        <f>491/487*100</f>
        <v>100.82135523613962</v>
      </c>
      <c r="D18" s="15">
        <v>0</v>
      </c>
      <c r="E18" s="13">
        <f>4/7*100</f>
        <v>57.142857142857139</v>
      </c>
      <c r="F18" s="15">
        <v>0</v>
      </c>
      <c r="G18" s="13">
        <f>640/625*100</f>
        <v>102.4</v>
      </c>
      <c r="H18" s="15">
        <v>0</v>
      </c>
      <c r="I18" s="13">
        <f>6/41*100</f>
        <v>14.634146341463413</v>
      </c>
    </row>
    <row r="19" spans="1:9" ht="62.25" customHeight="1" x14ac:dyDescent="0.25">
      <c r="A19" s="10" t="s">
        <v>32</v>
      </c>
      <c r="B19" s="16" t="s">
        <v>28</v>
      </c>
      <c r="C19" s="12"/>
      <c r="D19" s="12"/>
      <c r="E19" s="12"/>
      <c r="F19" s="12"/>
      <c r="G19" s="12"/>
      <c r="H19" s="12"/>
      <c r="I19" s="12"/>
    </row>
    <row r="20" spans="1:9" ht="80.25" customHeight="1" x14ac:dyDescent="0.25">
      <c r="A20" s="10" t="s">
        <v>30</v>
      </c>
      <c r="B20" s="16" t="s">
        <v>29</v>
      </c>
      <c r="C20" s="12"/>
      <c r="D20" s="12"/>
      <c r="E20" s="12"/>
      <c r="F20" s="12"/>
      <c r="G20" s="12"/>
      <c r="H20" s="12"/>
      <c r="I20" s="12"/>
    </row>
    <row r="21" spans="1:9" x14ac:dyDescent="0.25">
      <c r="A21" s="19" t="s">
        <v>34</v>
      </c>
      <c r="B21" s="19"/>
      <c r="C21" s="19"/>
      <c r="D21" s="19"/>
      <c r="E21" s="19"/>
      <c r="F21" s="19"/>
      <c r="G21" s="19"/>
      <c r="H21" s="19"/>
    </row>
    <row r="22" spans="1:9" x14ac:dyDescent="0.25">
      <c r="A22" s="19" t="s">
        <v>35</v>
      </c>
      <c r="B22" s="19"/>
      <c r="C22" s="19"/>
      <c r="D22" s="19"/>
      <c r="E22" s="19"/>
      <c r="F22" s="19"/>
      <c r="G22" s="19"/>
      <c r="H22" s="19"/>
    </row>
    <row r="23" spans="1:9" x14ac:dyDescent="0.25">
      <c r="A23" s="19"/>
      <c r="B23" s="19"/>
      <c r="C23" s="19"/>
      <c r="D23" s="19"/>
      <c r="E23" s="19"/>
      <c r="F23" s="19"/>
      <c r="G23" s="19"/>
    </row>
    <row r="24" spans="1:9" x14ac:dyDescent="0.25">
      <c r="A24" s="5"/>
      <c r="B24" s="6"/>
      <c r="C24" s="6"/>
      <c r="D24" s="6"/>
      <c r="E24" s="6"/>
      <c r="F24" s="6"/>
    </row>
  </sheetData>
  <mergeCells count="4">
    <mergeCell ref="G2:H2"/>
    <mergeCell ref="A21:H21"/>
    <mergeCell ref="A22:H22"/>
    <mergeCell ref="A23:G23"/>
  </mergeCells>
  <pageMargins left="0.7" right="0.7" top="0.75" bottom="0.75" header="0.3" footer="0.3"/>
  <pageSetup paperSize="9" scale="7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Hajnrih</dc:creator>
  <cp:lastModifiedBy>Anita MEŠKO</cp:lastModifiedBy>
  <cp:lastPrinted>2017-09-15T07:35:09Z</cp:lastPrinted>
  <dcterms:created xsi:type="dcterms:W3CDTF">2017-09-06T07:14:36Z</dcterms:created>
  <dcterms:modified xsi:type="dcterms:W3CDTF">2018-04-12T08:52:44Z</dcterms:modified>
</cp:coreProperties>
</file>